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ef" state="visible" r:id="rId4"/>
    <sheet sheetId="2" name="Inputs" state="visible" r:id="rId5"/>
    <sheet sheetId="3" name="Base" state="visible" r:id="rId6"/>
    <sheet sheetId="4" name="Downside" state="visible" r:id="rId7"/>
  </sheets>
  <calcPr calcId="171027" fullCalcOnLoad="1"/>
</workbook>
</file>

<file path=xl/sharedStrings.xml><?xml version="1.0" encoding="utf-8"?>
<sst xmlns="http://schemas.openxmlformats.org/spreadsheetml/2006/main" count="158" uniqueCount="89">
  <si>
    <t>HARBOR MAINTENANCE · CASE FILE 001 · THE FINANCE DESK</t>
  </si>
  <si>
    <t/>
  </si>
  <si>
    <t>Harbor Maintenance services commercial buildings under multi-year contracts: HVAC, electrical, and preventive repair for offices, clinics and warehouses across four metro areas. Revenue is 80% recurring. The founder wants to sell; a sponsor is underwriting the buyout.</t>
  </si>
  <si>
    <t>ONE HOUR: build the Base model from the Inputs tab. Report sponsor equity, year 1 interest, year 5 EBITDA, term loan at exit, proceeds, MOIC and IRR.</t>
  </si>
  <si>
    <t>THREE HOURS: also build the Downside and write a one-page investment committee memo. Report the peak revolver balance and its year, term loan at exit, proceeds, MOIC and IRR.</t>
  </si>
  <si>
    <t>Fictional company. Original practice material from the AsianMasc Finance Desk. Numbers are for learning, not a valuation of any real business.</t>
  </si>
  <si>
    <t>HARBOR MAINTENANCE · INPUTS</t>
  </si>
  <si>
    <t>Fictional company, $ millions. Blue = input. Change an input and the model follows.</t>
  </si>
  <si>
    <t>Assumption</t>
  </si>
  <si>
    <t>Base</t>
  </si>
  <si>
    <t>Downside</t>
  </si>
  <si>
    <t>Note</t>
  </si>
  <si>
    <t>LTM revenue at close</t>
  </si>
  <si>
    <t>$M</t>
  </si>
  <si>
    <t>LTM EBITDA at close</t>
  </si>
  <si>
    <t>Entry multiple (× LTM EBITDA)</t>
  </si>
  <si>
    <t>cash free, debt free</t>
  </si>
  <si>
    <t>Transaction fees</t>
  </si>
  <si>
    <t>$M, paid by the sponsor, expensed</t>
  </si>
  <si>
    <t>Minimum cash balance</t>
  </si>
  <si>
    <t>$M, funded at close</t>
  </si>
  <si>
    <t>Term loan at close</t>
  </si>
  <si>
    <t>SOFR floor</t>
  </si>
  <si>
    <t>applies to the benchmark</t>
  </si>
  <si>
    <t>Term loan spread over SOFR</t>
  </si>
  <si>
    <t>Mandatory amortisation</t>
  </si>
  <si>
    <t>% of ORIGINAL term loan a year</t>
  </si>
  <si>
    <t>Cash sweep</t>
  </si>
  <si>
    <t>% of cash above the minimum</t>
  </si>
  <si>
    <t>Revolver commitment</t>
  </si>
  <si>
    <t>$M, undrawn at close</t>
  </si>
  <si>
    <t>Revolver rate on drawn balance</t>
  </si>
  <si>
    <t>all in</t>
  </si>
  <si>
    <t>D&amp;A</t>
  </si>
  <si>
    <t>% of revenue</t>
  </si>
  <si>
    <t>Capex</t>
  </si>
  <si>
    <t>Operating working capital</t>
  </si>
  <si>
    <t>% of revenue; excludes cash and debt</t>
  </si>
  <si>
    <t>Cash tax rate</t>
  </si>
  <si>
    <t>FICTIONAL assumption, on positive pre-tax income</t>
  </si>
  <si>
    <t>Exit multiple (× year 5 EBITDA)</t>
  </si>
  <si>
    <t>BASE CASE BY YEAR</t>
  </si>
  <si>
    <t>Year 1</t>
  </si>
  <si>
    <t>Year 2</t>
  </si>
  <si>
    <t>Year 3</t>
  </si>
  <si>
    <t>Year 4</t>
  </si>
  <si>
    <t>Year 5</t>
  </si>
  <si>
    <t>Revenue growth</t>
  </si>
  <si>
    <t>EBITDA margin</t>
  </si>
  <si>
    <t>SOFR assumption (not a forecast)</t>
  </si>
  <si>
    <t>One-time cash costs ($M, pre-tax)</t>
  </si>
  <si>
    <t>DOWNSIDE BY YEAR</t>
  </si>
  <si>
    <t>Conventions: interest on BEGINNING balances; term loan rate = MAX(SOFR, floor) + spread; cash above the minimum repays the revolver first, then sweeps the term loan; cash below the minimum draws the revolver; anything the revolver can't cover is a FUNDING SHORTFALL, never netted.</t>
  </si>
  <si>
    <t>HARBOR MAINTENANCE · BASE</t>
  </si>
  <si>
    <t>Every cell is a live formula. Change the Inputs tab and this sheet follows.</t>
  </si>
  <si>
    <t>$ millions</t>
  </si>
  <si>
    <t>Close</t>
  </si>
  <si>
    <t>OPERATIONS</t>
  </si>
  <si>
    <t>Revenue</t>
  </si>
  <si>
    <t>EBITDA</t>
  </si>
  <si>
    <t>One-time cash costs</t>
  </si>
  <si>
    <t>Interest (on beginning balances)</t>
  </si>
  <si>
    <t>Pre-tax income</t>
  </si>
  <si>
    <t>Cash taxes</t>
  </si>
  <si>
    <t>Net income</t>
  </si>
  <si>
    <t>CASH FLOW</t>
  </si>
  <si>
    <t>Add back D&amp;A</t>
  </si>
  <si>
    <t>Increase in operating working capital</t>
  </si>
  <si>
    <t>Cash flow before debt repayment</t>
  </si>
  <si>
    <t>DEBT</t>
  </si>
  <si>
    <t>Cash above minimum, before revolver and sweep</t>
  </si>
  <si>
    <t>Revolver draw / (repayment)</t>
  </si>
  <si>
    <t>Cash sweep of the term loan</t>
  </si>
  <si>
    <t>BALANCES (END OF YEAR)</t>
  </si>
  <si>
    <t>Term loan</t>
  </si>
  <si>
    <t>Revolver</t>
  </si>
  <si>
    <t>Cash</t>
  </si>
  <si>
    <t>Funding shortfall (should be zero)</t>
  </si>
  <si>
    <t>RETURNS</t>
  </si>
  <si>
    <t>Entry enterprise value</t>
  </si>
  <si>
    <t>Uses: EV + fees + minimum cash</t>
  </si>
  <si>
    <t>Sponsor equity in</t>
  </si>
  <si>
    <t>Exit EV (exit multiple × year 5 EBITDA)</t>
  </si>
  <si>
    <t>Net debt at exit</t>
  </si>
  <si>
    <t>Sponsor proceeds (floored at zero)</t>
  </si>
  <si>
    <t>MOIC</t>
  </si>
  <si>
    <t>IRR (single entry and exit cash flow)</t>
  </si>
  <si>
    <t>Peak revolver balance</t>
  </si>
  <si>
    <t>HARBOR MAINTENANCE · DOWNSIDE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</si>
</sst>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;(#,##0.0);&quot;–&quot;"/>
    <numFmt numFmtId="165" formatCode="0.00&quot;x&quot;"/>
    <numFmt numFmtId="166" formatCode="0.0%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b/>
      <color rgb="FF16130C"/>
      <sz val="14"/>
    </font>
    <font>
      <i/>
      <color rgb="FF6B6250"/>
    </font>
    <font>
      <b/>
      <color rgb="FFF6F2E8"/>
    </font>
    <font>
      <color rgb="FF1F4FB8"/>
    </font>
    <font>
      <b/>
      <color rgb="FFE02E12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613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164" fontId="5" fillId="0" borderId="0" xfId="0" applyNumberFormat="1" applyFont="1"/>
    <xf numFmtId="165" fontId="5" fillId="0" borderId="0" xfId="0" applyNumberFormat="1" applyFont="1"/>
    <xf numFmtId="10" fontId="5" fillId="0" borderId="0" xfId="0" applyNumberFormat="1" applyFont="1"/>
    <xf numFmtId="166" fontId="5" fillId="0" borderId="0" xfId="0" applyNumberFormat="1" applyFont="1"/>
    <xf numFmtId="0" fontId="1" fillId="0" borderId="0" xfId="0" applyFont="1"/>
    <xf numFmtId="0" fontId="6" fillId="0" borderId="0" xfId="0" applyFont="1"/>
    <xf numFmtId="164" fontId="0" fillId="0" borderId="0" xfId="0" applyNumberFormat="1"/>
    <xf numFmtId="0" fontId="7" fillId="0" borderId="0" xfId="0" applyFont="1"/>
    <xf numFmtId="164" fontId="7" fillId="0" borderId="0" xfId="0" applyNumberFormat="1" applyFon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1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1</v>
      </c>
    </row>
    <row r="8" spans="1:1" x14ac:dyDescent="0.25">
      <c r="A8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2E12"/>
  </sheetPr>
  <dimension ref="A1:G4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6" width="13" customWidth="1"/>
    <col min="7" max="7" width="44" customWidth="1"/>
  </cols>
  <sheetData>
    <row r="1" spans="1:1" x14ac:dyDescent="0.25">
      <c r="A1" s="3" t="s">
        <v>6</v>
      </c>
    </row>
    <row r="2" spans="1:1" x14ac:dyDescent="0.25">
      <c r="A2" s="4" t="s">
        <v>7</v>
      </c>
    </row>
    <row r="3" spans="1:7" s="5" customFormat="1" x14ac:dyDescent="0.25">
      <c r="A3" s="6" t="s">
        <v>8</v>
      </c>
      <c r="B3" s="6" t="s">
        <v>9</v>
      </c>
      <c r="C3" s="6" t="s">
        <v>10</v>
      </c>
      <c r="D3" s="6" t="s">
        <v>1</v>
      </c>
      <c r="E3" s="6" t="s">
        <v>1</v>
      </c>
      <c r="F3" s="6" t="s">
        <v>1</v>
      </c>
      <c r="G3" s="6" t="s">
        <v>11</v>
      </c>
    </row>
    <row r="4" spans="1:7" x14ac:dyDescent="0.25">
      <c r="A4" t="s">
        <v>12</v>
      </c>
      <c r="B4" s="7">
        <v>180</v>
      </c>
      <c r="C4" s="7">
        <v>180</v>
      </c>
      <c r="G4" s="4" t="s">
        <v>13</v>
      </c>
    </row>
    <row r="5" spans="1:7" x14ac:dyDescent="0.25">
      <c r="A5" t="s">
        <v>14</v>
      </c>
      <c r="B5" s="7">
        <v>25</v>
      </c>
      <c r="C5" s="7">
        <v>25</v>
      </c>
      <c r="G5" s="4" t="s">
        <v>13</v>
      </c>
    </row>
    <row r="6" spans="1:7" x14ac:dyDescent="0.25">
      <c r="A6" t="s">
        <v>15</v>
      </c>
      <c r="B6" s="8">
        <v>8</v>
      </c>
      <c r="C6" s="8">
        <v>8</v>
      </c>
      <c r="G6" s="4" t="s">
        <v>16</v>
      </c>
    </row>
    <row r="7" spans="1:7" x14ac:dyDescent="0.25">
      <c r="A7" t="s">
        <v>17</v>
      </c>
      <c r="B7" s="7">
        <v>4</v>
      </c>
      <c r="C7" s="7">
        <v>4</v>
      </c>
      <c r="G7" s="4" t="s">
        <v>18</v>
      </c>
    </row>
    <row r="8" spans="1:7" x14ac:dyDescent="0.25">
      <c r="A8" t="s">
        <v>19</v>
      </c>
      <c r="B8" s="7">
        <v>5</v>
      </c>
      <c r="C8" s="7">
        <v>5</v>
      </c>
      <c r="G8" s="4" t="s">
        <v>20</v>
      </c>
    </row>
    <row r="9" spans="1:7" x14ac:dyDescent="0.25">
      <c r="A9" t="s">
        <v>21</v>
      </c>
      <c r="B9" s="7">
        <v>120</v>
      </c>
      <c r="C9" s="7">
        <v>120</v>
      </c>
      <c r="G9" s="4" t="s">
        <v>13</v>
      </c>
    </row>
    <row r="10" spans="1:7" x14ac:dyDescent="0.25">
      <c r="A10" t="s">
        <v>22</v>
      </c>
      <c r="B10" s="9">
        <v>0.005</v>
      </c>
      <c r="C10" s="9">
        <v>0.005</v>
      </c>
      <c r="G10" s="4" t="s">
        <v>23</v>
      </c>
    </row>
    <row r="11" spans="1:7" x14ac:dyDescent="0.25">
      <c r="A11" t="s">
        <v>24</v>
      </c>
      <c r="B11" s="9">
        <v>0.045</v>
      </c>
      <c r="C11" s="9">
        <v>0.045</v>
      </c>
      <c r="G11" s="4" t="s">
        <v>1</v>
      </c>
    </row>
    <row r="12" spans="1:7" x14ac:dyDescent="0.25">
      <c r="A12" t="s">
        <v>25</v>
      </c>
      <c r="B12" s="10">
        <v>0.01</v>
      </c>
      <c r="C12" s="10">
        <v>0.01</v>
      </c>
      <c r="G12" s="4" t="s">
        <v>26</v>
      </c>
    </row>
    <row r="13" spans="1:7" x14ac:dyDescent="0.25">
      <c r="A13" t="s">
        <v>27</v>
      </c>
      <c r="B13" s="10">
        <v>1</v>
      </c>
      <c r="C13" s="10">
        <v>1</v>
      </c>
      <c r="G13" s="4" t="s">
        <v>28</v>
      </c>
    </row>
    <row r="14" spans="1:7" x14ac:dyDescent="0.25">
      <c r="A14" t="s">
        <v>29</v>
      </c>
      <c r="B14" s="7">
        <v>20</v>
      </c>
      <c r="C14" s="7">
        <v>20</v>
      </c>
      <c r="G14" s="4" t="s">
        <v>30</v>
      </c>
    </row>
    <row r="15" spans="1:7" x14ac:dyDescent="0.25">
      <c r="A15" t="s">
        <v>31</v>
      </c>
      <c r="B15" s="9">
        <v>0.075</v>
      </c>
      <c r="C15" s="9">
        <v>0.075</v>
      </c>
      <c r="G15" s="4" t="s">
        <v>32</v>
      </c>
    </row>
    <row r="16" spans="1:7" x14ac:dyDescent="0.25">
      <c r="A16" t="s">
        <v>33</v>
      </c>
      <c r="B16" s="10">
        <v>0.025</v>
      </c>
      <c r="C16" s="10">
        <v>0.025</v>
      </c>
      <c r="G16" s="4" t="s">
        <v>34</v>
      </c>
    </row>
    <row r="17" spans="1:7" x14ac:dyDescent="0.25">
      <c r="A17" t="s">
        <v>35</v>
      </c>
      <c r="B17" s="10">
        <v>0.03</v>
      </c>
      <c r="C17" s="10">
        <v>0.03</v>
      </c>
      <c r="G17" s="4" t="s">
        <v>34</v>
      </c>
    </row>
    <row r="18" spans="1:7" x14ac:dyDescent="0.25">
      <c r="A18" t="s">
        <v>36</v>
      </c>
      <c r="B18" s="10">
        <v>0.1</v>
      </c>
      <c r="C18" s="10">
        <v>0.1</v>
      </c>
      <c r="G18" s="4" t="s">
        <v>37</v>
      </c>
    </row>
    <row r="19" spans="1:7" x14ac:dyDescent="0.25">
      <c r="A19" t="s">
        <v>38</v>
      </c>
      <c r="B19" s="10">
        <v>0.25</v>
      </c>
      <c r="C19" s="10">
        <v>0.25</v>
      </c>
      <c r="G19" s="4" t="s">
        <v>39</v>
      </c>
    </row>
    <row r="20" spans="1:7" x14ac:dyDescent="0.25">
      <c r="A20" t="s">
        <v>40</v>
      </c>
      <c r="B20" s="8">
        <v>8</v>
      </c>
      <c r="C20" s="8">
        <v>7</v>
      </c>
      <c r="G20" s="4" t="s">
        <v>1</v>
      </c>
    </row>
    <row r="24" spans="1:6" s="5" customFormat="1" x14ac:dyDescent="0.25">
      <c r="A24" s="6" t="s">
        <v>41</v>
      </c>
      <c r="B24" s="6" t="s">
        <v>42</v>
      </c>
      <c r="C24" s="6" t="s">
        <v>43</v>
      </c>
      <c r="D24" s="6" t="s">
        <v>44</v>
      </c>
      <c r="E24" s="6" t="s">
        <v>45</v>
      </c>
      <c r="F24" s="6" t="s">
        <v>46</v>
      </c>
    </row>
    <row r="25" spans="1:6" x14ac:dyDescent="0.25">
      <c r="A25" t="s">
        <v>47</v>
      </c>
      <c r="B25" s="10">
        <v>0.06</v>
      </c>
      <c r="C25" s="10">
        <v>0.06</v>
      </c>
      <c r="D25" s="10">
        <v>0.05</v>
      </c>
      <c r="E25" s="10">
        <v>0.05</v>
      </c>
      <c r="F25" s="10">
        <v>0.04</v>
      </c>
    </row>
    <row r="26" spans="1:6" x14ac:dyDescent="0.25">
      <c r="A26" t="s">
        <v>48</v>
      </c>
      <c r="B26" s="10">
        <v>0.14</v>
      </c>
      <c r="C26" s="10">
        <v>0.145</v>
      </c>
      <c r="D26" s="10">
        <v>0.15</v>
      </c>
      <c r="E26" s="10">
        <v>0.155</v>
      </c>
      <c r="F26" s="10">
        <v>0.16</v>
      </c>
    </row>
    <row r="27" spans="1:6" x14ac:dyDescent="0.25">
      <c r="A27" t="s">
        <v>49</v>
      </c>
      <c r="B27" s="9">
        <v>0.04</v>
      </c>
      <c r="C27" s="9">
        <v>0.04</v>
      </c>
      <c r="D27" s="9">
        <v>0.04</v>
      </c>
      <c r="E27" s="9">
        <v>0.04</v>
      </c>
      <c r="F27" s="9">
        <v>0.04</v>
      </c>
    </row>
    <row r="28" spans="1:6" x14ac:dyDescent="0.25">
      <c r="A28" t="s">
        <v>50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31" spans="1:6" s="5" customFormat="1" x14ac:dyDescent="0.25">
      <c r="A31" s="6" t="s">
        <v>51</v>
      </c>
      <c r="B31" s="6" t="s">
        <v>42</v>
      </c>
      <c r="C31" s="6" t="s">
        <v>43</v>
      </c>
      <c r="D31" s="6" t="s">
        <v>44</v>
      </c>
      <c r="E31" s="6" t="s">
        <v>45</v>
      </c>
      <c r="F31" s="6" t="s">
        <v>46</v>
      </c>
    </row>
    <row r="32" spans="1:6" x14ac:dyDescent="0.25">
      <c r="A32" t="s">
        <v>47</v>
      </c>
      <c r="B32" s="10">
        <v>0.06</v>
      </c>
      <c r="C32" s="10">
        <v>-0.18</v>
      </c>
      <c r="D32" s="10">
        <v>0.03</v>
      </c>
      <c r="E32" s="10">
        <v>0.04</v>
      </c>
      <c r="F32" s="10">
        <v>0.04</v>
      </c>
    </row>
    <row r="33" spans="1:6" x14ac:dyDescent="0.25">
      <c r="A33" t="s">
        <v>48</v>
      </c>
      <c r="B33" s="10">
        <v>0.14</v>
      </c>
      <c r="C33" s="10">
        <v>0.12</v>
      </c>
      <c r="D33" s="10">
        <v>0.13</v>
      </c>
      <c r="E33" s="10">
        <v>0.135</v>
      </c>
      <c r="F33" s="10">
        <v>0.14</v>
      </c>
    </row>
    <row r="34" spans="1:6" x14ac:dyDescent="0.25">
      <c r="A34" t="s">
        <v>49</v>
      </c>
      <c r="B34" s="9">
        <v>0.04</v>
      </c>
      <c r="C34" s="9">
        <v>0.05</v>
      </c>
      <c r="D34" s="9">
        <v>0.05</v>
      </c>
      <c r="E34" s="9">
        <v>0.05</v>
      </c>
      <c r="F34" s="9">
        <v>0.05</v>
      </c>
    </row>
    <row r="35" spans="1:6" x14ac:dyDescent="0.25">
      <c r="A35" t="s">
        <v>50</v>
      </c>
      <c r="B35" s="7">
        <v>0</v>
      </c>
      <c r="C35" s="7">
        <v>14</v>
      </c>
      <c r="D35" s="7">
        <v>0</v>
      </c>
      <c r="E35" s="7">
        <v>0</v>
      </c>
      <c r="F35" s="7">
        <v>0</v>
      </c>
    </row>
    <row r="38" spans="1:7" x14ac:dyDescent="0.25">
      <c r="A38" s="2" t="s">
        <v>52</v>
      </c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</sheetData>
  <mergeCells count="1">
    <mergeCell ref="A38:G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7" width="12" customWidth="1"/>
  </cols>
  <sheetData>
    <row r="1" spans="1:1" x14ac:dyDescent="0.25">
      <c r="A1" s="11" t="s">
        <v>53</v>
      </c>
    </row>
    <row r="2" spans="1:1" x14ac:dyDescent="0.25">
      <c r="A2" s="4" t="s">
        <v>54</v>
      </c>
    </row>
    <row r="3" spans="1:7" s="5" customFormat="1" x14ac:dyDescent="0.25">
      <c r="A3" s="6" t="s">
        <v>55</v>
      </c>
      <c r="B3" s="6" t="s">
        <v>56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</row>
    <row r="4" spans="1:1" x14ac:dyDescent="0.25">
      <c r="A4" s="12" t="s">
        <v>57</v>
      </c>
    </row>
    <row r="5" spans="1:7" x14ac:dyDescent="0.25">
      <c r="A5" t="s">
        <v>58</v>
      </c>
      <c r="B5" s="13">
        <f>Inputs!$B$4</f>
        <v>180</v>
      </c>
      <c r="C5" s="13">
        <f>B5*(1+Inputs!B25)</f>
        <v>190.8</v>
      </c>
      <c r="D5" s="13">
        <f>C5*(1+Inputs!C25)</f>
        <v>202.24800000000002</v>
      </c>
      <c r="E5" s="13">
        <f>D5*(1+Inputs!D25)</f>
        <v>212.36040000000003</v>
      </c>
      <c r="F5" s="13">
        <f>E5*(1+Inputs!E25)</f>
        <v>222.97842000000003</v>
      </c>
      <c r="G5" s="13">
        <f>F5*(1+Inputs!F25)</f>
        <v>231.89755680000005</v>
      </c>
    </row>
    <row r="6" spans="1:7" x14ac:dyDescent="0.25">
      <c r="A6" s="14" t="s">
        <v>59</v>
      </c>
      <c r="B6" s="13">
        <f>Inputs!$B$5</f>
        <v>25</v>
      </c>
      <c r="C6" s="15">
        <f>C5*Inputs!B26</f>
        <v>26.712000000000003</v>
      </c>
      <c r="D6" s="15">
        <f>D5*Inputs!C26</f>
        <v>29.325960000000002</v>
      </c>
      <c r="E6" s="15">
        <f>E5*Inputs!D26</f>
        <v>31.854060000000004</v>
      </c>
      <c r="F6" s="15">
        <f>F5*Inputs!E26</f>
        <v>34.5616551</v>
      </c>
      <c r="G6" s="15">
        <f>G5*Inputs!F26</f>
        <v>37.103609088000006</v>
      </c>
    </row>
    <row r="7" spans="1:7" x14ac:dyDescent="0.25">
      <c r="A7" t="s">
        <v>60</v>
      </c>
      <c r="C7" s="13">
        <f>Inputs!B28</f>
        <v>0</v>
      </c>
      <c r="D7" s="13">
        <f>Inputs!C28</f>
        <v>0</v>
      </c>
      <c r="E7" s="13">
        <f>Inputs!D28</f>
        <v>0</v>
      </c>
      <c r="F7" s="13">
        <f>Inputs!E28</f>
        <v>0</v>
      </c>
      <c r="G7" s="13">
        <f>Inputs!F28</f>
        <v>0</v>
      </c>
    </row>
    <row r="8" spans="1:7" x14ac:dyDescent="0.25">
      <c r="A8" t="s">
        <v>33</v>
      </c>
      <c r="C8" s="13">
        <f>C5*Inputs!$B$16</f>
        <v>4.7700000000000005</v>
      </c>
      <c r="D8" s="13">
        <f>D5*Inputs!$B$16</f>
        <v>5.0562000000000005</v>
      </c>
      <c r="E8" s="13">
        <f>E5*Inputs!$B$16</f>
        <v>5.309010000000001</v>
      </c>
      <c r="F8" s="13">
        <f>F5*Inputs!$B$16</f>
        <v>5.574460500000001</v>
      </c>
      <c r="G8" s="13">
        <f>G5*Inputs!$B$16</f>
        <v>5.797438920000001</v>
      </c>
    </row>
    <row r="9" spans="1:7" x14ac:dyDescent="0.25">
      <c r="A9" t="s">
        <v>61</v>
      </c>
      <c r="C9" s="13">
        <f>B24*(MAX(Inputs!B27,Inputs!$B$10)+Inputs!$B$11)+B25*Inputs!$B$15</f>
        <v>10.2</v>
      </c>
      <c r="D9" s="13">
        <f>C24*(MAX(Inputs!C27,Inputs!$B$10)+Inputs!$B$11)+C25*Inputs!$B$15</f>
        <v>9.6243375</v>
      </c>
      <c r="E9" s="13">
        <f>D24*(MAX(Inputs!D27,Inputs!$B$10)+Inputs!$B$11)+D25*Inputs!$B$15</f>
        <v>8.873955215624997</v>
      </c>
      <c r="F9" s="13">
        <f>E24*(MAX(Inputs!E27,Inputs!$B$10)+Inputs!$B$11)+E25*Inputs!$B$15</f>
        <v>7.923631493121092</v>
      </c>
      <c r="G9" s="13">
        <f>F24*(MAX(Inputs!F27,Inputs!$B$10)+Inputs!$B$11)+F25*Inputs!$B$15</f>
        <v>6.765848343557561</v>
      </c>
    </row>
    <row r="10" spans="1:7" x14ac:dyDescent="0.25">
      <c r="A10" t="s">
        <v>62</v>
      </c>
      <c r="C10" s="13">
        <f>C6-C7-C8-C9</f>
        <v>11.742000000000004</v>
      </c>
      <c r="D10" s="13">
        <f>D6-D7-D8-D9</f>
        <v>14.645422500000002</v>
      </c>
      <c r="E10" s="13">
        <f>E6-E7-E8-E9</f>
        <v>17.671094784375008</v>
      </c>
      <c r="F10" s="13">
        <f>F6-F7-F8-F9</f>
        <v>21.06356310687891</v>
      </c>
      <c r="G10" s="13">
        <f>G6-G7-G8-G9</f>
        <v>24.540321824442444</v>
      </c>
    </row>
    <row r="11" spans="1:7" x14ac:dyDescent="0.25">
      <c r="A11" t="s">
        <v>63</v>
      </c>
      <c r="C11" s="13">
        <f>MAX(0,C10)*Inputs!$B$19</f>
        <v>2.935500000000001</v>
      </c>
      <c r="D11" s="13">
        <f>MAX(0,D10)*Inputs!$B$19</f>
        <v>3.6613556250000006</v>
      </c>
      <c r="E11" s="13">
        <f>MAX(0,E10)*Inputs!$B$19</f>
        <v>4.417773696093752</v>
      </c>
      <c r="F11" s="13">
        <f>MAX(0,F10)*Inputs!$B$19</f>
        <v>5.265890776719727</v>
      </c>
      <c r="G11" s="13">
        <f>MAX(0,G10)*Inputs!$B$19</f>
        <v>6.135080456110611</v>
      </c>
    </row>
    <row r="12" spans="1:7" x14ac:dyDescent="0.25">
      <c r="A12" s="14" t="s">
        <v>64</v>
      </c>
      <c r="C12" s="15">
        <f>C10-C11</f>
        <v>8.806500000000003</v>
      </c>
      <c r="D12" s="15">
        <f>D10-D11</f>
        <v>10.984066875000002</v>
      </c>
      <c r="E12" s="15">
        <f>E10-E11</f>
        <v>13.253321088281256</v>
      </c>
      <c r="F12" s="15">
        <f>F10-F11</f>
        <v>15.797672330159182</v>
      </c>
      <c r="G12" s="15">
        <f>G10-G11</f>
        <v>18.405241368331833</v>
      </c>
    </row>
    <row r="13" spans="1:1" x14ac:dyDescent="0.25">
      <c r="A13" s="12" t="s">
        <v>65</v>
      </c>
    </row>
    <row r="14" spans="1:7" x14ac:dyDescent="0.25">
      <c r="A14" t="s">
        <v>66</v>
      </c>
      <c r="C14" s="13">
        <f>C8</f>
        <v>4.7700000000000005</v>
      </c>
      <c r="D14" s="13">
        <f>D8</f>
        <v>5.0562000000000005</v>
      </c>
      <c r="E14" s="13">
        <f>E8</f>
        <v>5.309010000000001</v>
      </c>
      <c r="F14" s="13">
        <f>F8</f>
        <v>5.574460500000001</v>
      </c>
      <c r="G14" s="13">
        <f>G8</f>
        <v>5.797438920000001</v>
      </c>
    </row>
    <row r="15" spans="1:7" x14ac:dyDescent="0.25">
      <c r="A15" t="s">
        <v>67</v>
      </c>
      <c r="C15" s="13">
        <f>(C5-B5)*Inputs!$B$18</f>
        <v>1.0800000000000012</v>
      </c>
      <c r="D15" s="13">
        <f>(D5-C5)*Inputs!$B$18</f>
        <v>1.1448000000000007</v>
      </c>
      <c r="E15" s="13">
        <f>(E5-D5)*Inputs!$B$18</f>
        <v>1.0112400000000008</v>
      </c>
      <c r="F15" s="13">
        <f>(F5-E5)*Inputs!$B$18</f>
        <v>1.0618020000000001</v>
      </c>
      <c r="G15" s="13">
        <f>(G5-F5)*Inputs!$B$18</f>
        <v>0.8919136800000018</v>
      </c>
    </row>
    <row r="16" spans="1:7" x14ac:dyDescent="0.25">
      <c r="A16" t="s">
        <v>35</v>
      </c>
      <c r="C16" s="13">
        <f>C5*Inputs!$B$17</f>
        <v>5.724</v>
      </c>
      <c r="D16" s="13">
        <f>D5*Inputs!$B$17</f>
        <v>6.06744</v>
      </c>
      <c r="E16" s="13">
        <f>E5*Inputs!$B$17</f>
        <v>6.370812000000001</v>
      </c>
      <c r="F16" s="13">
        <f>F5*Inputs!$B$17</f>
        <v>6.6893526</v>
      </c>
      <c r="G16" s="13">
        <f>G5*Inputs!$B$17</f>
        <v>6.956926704000002</v>
      </c>
    </row>
    <row r="17" spans="1:7" x14ac:dyDescent="0.25">
      <c r="A17" s="14" t="s">
        <v>68</v>
      </c>
      <c r="C17" s="15">
        <f>C12+C14-C15-C16</f>
        <v>6.772500000000001</v>
      </c>
      <c r="D17" s="15">
        <f>D12+D14-D15-D16</f>
        <v>8.828026874999999</v>
      </c>
      <c r="E17" s="15">
        <f>E12+E14-E15-E16</f>
        <v>11.180279088281253</v>
      </c>
      <c r="F17" s="15">
        <f>F12+F14-F15-F16</f>
        <v>13.620978230159182</v>
      </c>
      <c r="G17" s="15">
        <f>G12+G14-G15-G16</f>
        <v>16.35383990433183</v>
      </c>
    </row>
    <row r="18" spans="1:1" x14ac:dyDescent="0.25">
      <c r="A18" s="12" t="s">
        <v>69</v>
      </c>
    </row>
    <row r="19" spans="1:7" x14ac:dyDescent="0.25">
      <c r="A19" t="s">
        <v>25</v>
      </c>
      <c r="C19" s="13">
        <f>MIN(B24,Inputs!$B$12*Inputs!$B$9)</f>
        <v>1.2</v>
      </c>
      <c r="D19" s="13">
        <f>MIN(C24,Inputs!$B$12*Inputs!$B$9)</f>
        <v>1.2</v>
      </c>
      <c r="E19" s="13">
        <f>MIN(D24,Inputs!$B$12*Inputs!$B$9)</f>
        <v>1.2</v>
      </c>
      <c r="F19" s="13">
        <f>MIN(E24,Inputs!$B$12*Inputs!$B$9)</f>
        <v>1.2</v>
      </c>
      <c r="G19" s="13">
        <f>MIN(F24,Inputs!$B$12*Inputs!$B$9)</f>
        <v>1.2</v>
      </c>
    </row>
    <row r="20" spans="1:7" x14ac:dyDescent="0.25">
      <c r="A20" t="s">
        <v>70</v>
      </c>
      <c r="C20" s="13">
        <f>B26+C17-C19-Inputs!$B$8</f>
        <v>5.572500000000002</v>
      </c>
      <c r="D20" s="13">
        <f>C26+D17-D19-Inputs!$B$8</f>
        <v>7.628026875</v>
      </c>
      <c r="E20" s="13">
        <f>D26+E17-E19-Inputs!$B$8</f>
        <v>9.980279088281254</v>
      </c>
      <c r="F20" s="13">
        <f>E26+F17-F19-Inputs!$B$8</f>
        <v>12.420978230159182</v>
      </c>
      <c r="G20" s="13">
        <f>F26+G17-G19-Inputs!$B$8</f>
        <v>15.153839904331832</v>
      </c>
    </row>
    <row r="21" spans="1:7" x14ac:dyDescent="0.25">
      <c r="A21" t="s">
        <v>71</v>
      </c>
      <c r="C21" s="13">
        <f>IF(C20&lt;0,MIN(-C20,Inputs!$B$14-B25),-MIN(C20,B25))</f>
        <v>0</v>
      </c>
      <c r="D21" s="13">
        <f>IF(D20&lt;0,MIN(-D20,Inputs!$B$14-C25),-MIN(D20,C25))</f>
        <v>0</v>
      </c>
      <c r="E21" s="13">
        <f>IF(E20&lt;0,MIN(-E20,Inputs!$B$14-D25),-MIN(E20,D25))</f>
        <v>0</v>
      </c>
      <c r="F21" s="13">
        <f>IF(F20&lt;0,MIN(-F20,Inputs!$B$14-E25),-MIN(F20,E25))</f>
        <v>0</v>
      </c>
      <c r="G21" s="13">
        <f>IF(G20&lt;0,MIN(-G20,Inputs!$B$14-F25),-MIN(G20,F25))</f>
        <v>0</v>
      </c>
    </row>
    <row r="22" spans="1:7" x14ac:dyDescent="0.25">
      <c r="A22" t="s">
        <v>72</v>
      </c>
      <c r="C22" s="13">
        <f>IF(C20&lt;0,0,MIN((C20-MIN(C20,B25))*Inputs!$B$13,B24-C19))</f>
        <v>5.572500000000002</v>
      </c>
      <c r="D22" s="13">
        <f>IF(D20&lt;0,0,MIN((D20-MIN(D20,C25))*Inputs!$B$13,C24-D19))</f>
        <v>7.628026875</v>
      </c>
      <c r="E22" s="13">
        <f>IF(E20&lt;0,0,MIN((E20-MIN(E20,D25))*Inputs!$B$13,D24-E19))</f>
        <v>9.980279088281254</v>
      </c>
      <c r="F22" s="13">
        <f>IF(F20&lt;0,0,MIN((F20-MIN(F20,E25))*Inputs!$B$13,E24-F19))</f>
        <v>12.420978230159182</v>
      </c>
      <c r="G22" s="13">
        <f>IF(G20&lt;0,0,MIN((G20-MIN(G20,F25))*Inputs!$B$13,F24-G19))</f>
        <v>15.153839904331832</v>
      </c>
    </row>
    <row r="23" spans="1:1" x14ac:dyDescent="0.25">
      <c r="A23" s="12" t="s">
        <v>73</v>
      </c>
    </row>
    <row r="24" spans="1:7" x14ac:dyDescent="0.25">
      <c r="A24" s="14" t="s">
        <v>74</v>
      </c>
      <c r="B24" s="13">
        <f>Inputs!$B$9</f>
        <v>120</v>
      </c>
      <c r="C24" s="15">
        <f>B24-C19-C22</f>
        <v>113.22749999999999</v>
      </c>
      <c r="D24" s="15">
        <f>C24-D19-D22</f>
        <v>104.39947312499999</v>
      </c>
      <c r="E24" s="15">
        <f>D24-E19-E22</f>
        <v>93.21919403671873</v>
      </c>
      <c r="F24" s="15">
        <f>E24-F19-F22</f>
        <v>79.59821580655955</v>
      </c>
      <c r="G24" s="15">
        <f>F24-G19-G22</f>
        <v>63.244375902227716</v>
      </c>
    </row>
    <row r="25" spans="1:7" x14ac:dyDescent="0.25">
      <c r="A25" t="s">
        <v>75</v>
      </c>
      <c r="B25" s="13">
        <f>0</f>
        <v>0</v>
      </c>
      <c r="C25" s="13">
        <f>B25+C21</f>
        <v>0</v>
      </c>
      <c r="D25" s="13">
        <f>C25+D21</f>
        <v>0</v>
      </c>
      <c r="E25" s="13">
        <f>D25+E21</f>
        <v>0</v>
      </c>
      <c r="F25" s="13">
        <f>E25+F21</f>
        <v>0</v>
      </c>
      <c r="G25" s="13">
        <f>F25+G21</f>
        <v>0</v>
      </c>
    </row>
    <row r="26" spans="1:7" x14ac:dyDescent="0.25">
      <c r="A26" t="s">
        <v>76</v>
      </c>
      <c r="B26" s="13">
        <f>Inputs!$B$8</f>
        <v>5</v>
      </c>
      <c r="C26" s="13">
        <f>B26+C17-C19+C21-C22</f>
        <v>5</v>
      </c>
      <c r="D26" s="13">
        <f>C26+D17-D19+D21-D22</f>
        <v>5</v>
      </c>
      <c r="E26" s="13">
        <f>D26+E17-E19+E21-E22</f>
        <v>5</v>
      </c>
      <c r="F26" s="13">
        <f>E26+F17-F19+F21-F22</f>
        <v>5</v>
      </c>
      <c r="G26" s="13">
        <f>F26+G17-G19+G21-G22</f>
        <v>5</v>
      </c>
    </row>
    <row r="27" spans="1:7" x14ac:dyDescent="0.25">
      <c r="A27" t="s">
        <v>77</v>
      </c>
      <c r="C27" s="13">
        <f>IF(C20&lt;0,-C20-C21,0)</f>
        <v>0</v>
      </c>
      <c r="D27" s="13">
        <f>IF(D20&lt;0,-D20-D21,0)</f>
        <v>0</v>
      </c>
      <c r="E27" s="13">
        <f>IF(E20&lt;0,-E20-E21,0)</f>
        <v>0</v>
      </c>
      <c r="F27" s="13">
        <f>IF(F20&lt;0,-F20-F21,0)</f>
        <v>0</v>
      </c>
      <c r="G27" s="13">
        <f>IF(G20&lt;0,-G20-G21,0)</f>
        <v>0</v>
      </c>
    </row>
    <row r="29" spans="1:1" x14ac:dyDescent="0.25">
      <c r="A29" s="12" t="s">
        <v>78</v>
      </c>
    </row>
    <row r="30" spans="1:2" x14ac:dyDescent="0.25">
      <c r="A30" t="s">
        <v>79</v>
      </c>
      <c r="B30" s="13">
        <f>Inputs!$B$6*Inputs!$B$5</f>
        <v>200</v>
      </c>
    </row>
    <row r="31" spans="1:2" x14ac:dyDescent="0.25">
      <c r="A31" t="s">
        <v>80</v>
      </c>
      <c r="B31" s="13">
        <f>B30+Inputs!$B$7+Inputs!$B$8</f>
        <v>209</v>
      </c>
    </row>
    <row r="32" spans="1:2" x14ac:dyDescent="0.25">
      <c r="A32" t="s">
        <v>81</v>
      </c>
      <c r="B32" s="13">
        <f>B31-Inputs!$B$9</f>
        <v>89</v>
      </c>
    </row>
    <row r="33" spans="1:2" x14ac:dyDescent="0.25">
      <c r="A33" t="s">
        <v>82</v>
      </c>
      <c r="B33" s="13">
        <f>Inputs!$B$20*G6</f>
        <v>296.82887270400005</v>
      </c>
    </row>
    <row r="34" spans="1:2" x14ac:dyDescent="0.25">
      <c r="A34" t="s">
        <v>83</v>
      </c>
      <c r="B34" s="13">
        <f>G24+G25-G26</f>
        <v>58.244375902227716</v>
      </c>
    </row>
    <row r="35" spans="1:2" x14ac:dyDescent="0.25">
      <c r="A35" t="s">
        <v>84</v>
      </c>
      <c r="B35" s="13">
        <f>MAX(0,B33-B34)</f>
        <v>238.58449680177233</v>
      </c>
    </row>
    <row r="36" spans="1:2" x14ac:dyDescent="0.25">
      <c r="A36" t="s">
        <v>85</v>
      </c>
      <c r="B36" s="16">
        <f>B35/B32</f>
        <v>2.6807246831659812</v>
      </c>
    </row>
    <row r="37" spans="1:2" x14ac:dyDescent="0.25">
      <c r="A37" t="s">
        <v>86</v>
      </c>
      <c r="B37" s="17">
        <f>IF(B36&gt;0,B36^(1/5)-1,-1)</f>
        <v>0.2180088465361676</v>
      </c>
    </row>
    <row r="38" spans="1:2" x14ac:dyDescent="0.25">
      <c r="A38" t="s">
        <v>87</v>
      </c>
      <c r="B38" s="13">
        <f>MAX(C25:G25)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7" width="12" customWidth="1"/>
  </cols>
  <sheetData>
    <row r="1" spans="1:1" x14ac:dyDescent="0.25">
      <c r="A1" s="11" t="s">
        <v>88</v>
      </c>
    </row>
    <row r="2" spans="1:1" x14ac:dyDescent="0.25">
      <c r="A2" s="4" t="s">
        <v>54</v>
      </c>
    </row>
    <row r="3" spans="1:7" s="5" customFormat="1" x14ac:dyDescent="0.25">
      <c r="A3" s="6" t="s">
        <v>55</v>
      </c>
      <c r="B3" s="6" t="s">
        <v>56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</row>
    <row r="4" spans="1:1" x14ac:dyDescent="0.25">
      <c r="A4" s="12" t="s">
        <v>57</v>
      </c>
    </row>
    <row r="5" spans="1:7" x14ac:dyDescent="0.25">
      <c r="A5" t="s">
        <v>58</v>
      </c>
      <c r="B5" s="13">
        <f>Inputs!$C$4</f>
        <v>180</v>
      </c>
      <c r="C5" s="13">
        <f>B5*(1+Inputs!B32)</f>
        <v>190.8</v>
      </c>
      <c r="D5" s="13">
        <f>C5*(1+Inputs!C32)</f>
        <v>156.45600000000002</v>
      </c>
      <c r="E5" s="13">
        <f>D5*(1+Inputs!D32)</f>
        <v>161.14968000000002</v>
      </c>
      <c r="F5" s="13">
        <f>E5*(1+Inputs!E32)</f>
        <v>167.59566720000004</v>
      </c>
      <c r="G5" s="13">
        <f>F5*(1+Inputs!F32)</f>
        <v>174.29949388800006</v>
      </c>
    </row>
    <row r="6" spans="1:7" x14ac:dyDescent="0.25">
      <c r="A6" s="14" t="s">
        <v>59</v>
      </c>
      <c r="B6" s="13">
        <f>Inputs!$C$5</f>
        <v>25</v>
      </c>
      <c r="C6" s="15">
        <f>C5*Inputs!B33</f>
        <v>26.712000000000003</v>
      </c>
      <c r="D6" s="15">
        <f>D5*Inputs!C33</f>
        <v>18.774720000000002</v>
      </c>
      <c r="E6" s="15">
        <f>E5*Inputs!D33</f>
        <v>20.949458400000005</v>
      </c>
      <c r="F6" s="15">
        <f>F5*Inputs!E33</f>
        <v>22.625415072000006</v>
      </c>
      <c r="G6" s="15">
        <f>G5*Inputs!F33</f>
        <v>24.40192914432001</v>
      </c>
    </row>
    <row r="7" spans="1:7" x14ac:dyDescent="0.25">
      <c r="A7" t="s">
        <v>60</v>
      </c>
      <c r="C7" s="13">
        <f>Inputs!B35</f>
        <v>0</v>
      </c>
      <c r="D7" s="13">
        <f>Inputs!C35</f>
        <v>14</v>
      </c>
      <c r="E7" s="13">
        <f>Inputs!D35</f>
        <v>0</v>
      </c>
      <c r="F7" s="13">
        <f>Inputs!E35</f>
        <v>0</v>
      </c>
      <c r="G7" s="13">
        <f>Inputs!F35</f>
        <v>0</v>
      </c>
    </row>
    <row r="8" spans="1:7" x14ac:dyDescent="0.25">
      <c r="A8" t="s">
        <v>33</v>
      </c>
      <c r="C8" s="13">
        <f>C5*Inputs!$C$16</f>
        <v>4.7700000000000005</v>
      </c>
      <c r="D8" s="13">
        <f>D5*Inputs!$C$16</f>
        <v>3.9114000000000004</v>
      </c>
      <c r="E8" s="13">
        <f>E5*Inputs!$C$16</f>
        <v>4.028742</v>
      </c>
      <c r="F8" s="13">
        <f>F5*Inputs!$C$16</f>
        <v>4.1898916800000015</v>
      </c>
      <c r="G8" s="13">
        <f>G5*Inputs!$C$16</f>
        <v>4.357487347200002</v>
      </c>
    </row>
    <row r="9" spans="1:7" x14ac:dyDescent="0.25">
      <c r="A9" t="s">
        <v>61</v>
      </c>
      <c r="C9" s="13">
        <f>B24*(MAX(Inputs!B34,Inputs!$C$10)+Inputs!$C$11)+B25*Inputs!$C$15</f>
        <v>10.2</v>
      </c>
      <c r="D9" s="13">
        <f>C24*(MAX(Inputs!C34,Inputs!$C$10)+Inputs!$C$11)+C25*Inputs!$C$15</f>
        <v>10.7566125</v>
      </c>
      <c r="E9" s="13">
        <f>D24*(MAX(Inputs!D34,Inputs!$C$10)+Inputs!$C$11)+D25*Inputs!$C$15</f>
        <v>11.275700437499998</v>
      </c>
      <c r="F9" s="13">
        <f>E24*(MAX(Inputs!E34,Inputs!$C$10)+Inputs!$C$11)+E25*Inputs!$C$15</f>
        <v>11.029802019609374</v>
      </c>
      <c r="G9" s="13">
        <f>F24*(MAX(Inputs!F34,Inputs!$C$10)+Inputs!$C$11)+F25*Inputs!$C$15</f>
        <v>10.7004234716124</v>
      </c>
    </row>
    <row r="10" spans="1:7" x14ac:dyDescent="0.25">
      <c r="A10" t="s">
        <v>62</v>
      </c>
      <c r="C10" s="13">
        <f>C6-C7-C8-C9</f>
        <v>11.742000000000004</v>
      </c>
      <c r="D10" s="13">
        <f>D6-D7-D8-D9</f>
        <v>-9.893292499999998</v>
      </c>
      <c r="E10" s="13">
        <f>E6-E7-E8-E9</f>
        <v>5.645015962500006</v>
      </c>
      <c r="F10" s="13">
        <f>F6-F7-F8-F9</f>
        <v>7.40572137239063</v>
      </c>
      <c r="G10" s="13">
        <f>G6-G7-G8-G9</f>
        <v>9.344018325507609</v>
      </c>
    </row>
    <row r="11" spans="1:7" x14ac:dyDescent="0.25">
      <c r="A11" t="s">
        <v>63</v>
      </c>
      <c r="C11" s="13">
        <f>MAX(0,C10)*Inputs!$C$19</f>
        <v>2.935500000000001</v>
      </c>
      <c r="D11" s="13">
        <f>MAX(0,D10)*Inputs!$C$19</f>
        <v>0</v>
      </c>
      <c r="E11" s="13">
        <f>MAX(0,E10)*Inputs!$C$19</f>
        <v>1.4112539906250015</v>
      </c>
      <c r="F11" s="13">
        <f>MAX(0,F10)*Inputs!$C$19</f>
        <v>1.8514303430976575</v>
      </c>
      <c r="G11" s="13">
        <f>MAX(0,G10)*Inputs!$C$19</f>
        <v>2.336004581376902</v>
      </c>
    </row>
    <row r="12" spans="1:7" x14ac:dyDescent="0.25">
      <c r="A12" s="14" t="s">
        <v>64</v>
      </c>
      <c r="C12" s="15">
        <f>C10-C11</f>
        <v>8.806500000000003</v>
      </c>
      <c r="D12" s="15">
        <f>D10-D11</f>
        <v>-9.893292499999998</v>
      </c>
      <c r="E12" s="15">
        <f>E10-E11</f>
        <v>4.233761971875005</v>
      </c>
      <c r="F12" s="15">
        <f>F10-F11</f>
        <v>5.554291029292973</v>
      </c>
      <c r="G12" s="15">
        <f>G10-G11</f>
        <v>7.008013744130706</v>
      </c>
    </row>
    <row r="13" spans="1:1" x14ac:dyDescent="0.25">
      <c r="A13" s="12" t="s">
        <v>65</v>
      </c>
    </row>
    <row r="14" spans="1:7" x14ac:dyDescent="0.25">
      <c r="A14" t="s">
        <v>66</v>
      </c>
      <c r="C14" s="13">
        <f>C8</f>
        <v>4.7700000000000005</v>
      </c>
      <c r="D14" s="13">
        <f>D8</f>
        <v>3.9114000000000004</v>
      </c>
      <c r="E14" s="13">
        <f>E8</f>
        <v>4.028742</v>
      </c>
      <c r="F14" s="13">
        <f>F8</f>
        <v>4.1898916800000015</v>
      </c>
      <c r="G14" s="13">
        <f>G8</f>
        <v>4.357487347200002</v>
      </c>
    </row>
    <row r="15" spans="1:7" x14ac:dyDescent="0.25">
      <c r="A15" t="s">
        <v>67</v>
      </c>
      <c r="C15" s="13">
        <f>(C5-B5)*Inputs!$C$18</f>
        <v>1.0800000000000012</v>
      </c>
      <c r="D15" s="13">
        <f>(D5-C5)*Inputs!$C$18</f>
        <v>-3.4343999999999997</v>
      </c>
      <c r="E15" s="13">
        <f>(E5-D5)*Inputs!$C$18</f>
        <v>0.46936800000000006</v>
      </c>
      <c r="F15" s="13">
        <f>(F5-E5)*Inputs!$C$18</f>
        <v>0.644598720000002</v>
      </c>
      <c r="G15" s="13">
        <f>(G5-F5)*Inputs!$C$18</f>
        <v>0.6703826688000021</v>
      </c>
    </row>
    <row r="16" spans="1:7" x14ac:dyDescent="0.25">
      <c r="A16" t="s">
        <v>35</v>
      </c>
      <c r="C16" s="13">
        <f>C5*Inputs!$C$17</f>
        <v>5.724</v>
      </c>
      <c r="D16" s="13">
        <f>D5*Inputs!$C$17</f>
        <v>4.6936800000000005</v>
      </c>
      <c r="E16" s="13">
        <f>E5*Inputs!$C$17</f>
        <v>4.8344904</v>
      </c>
      <c r="F16" s="13">
        <f>F5*Inputs!$C$17</f>
        <v>5.0278700160000005</v>
      </c>
      <c r="G16" s="13">
        <f>G5*Inputs!$C$17</f>
        <v>5.2289848166400015</v>
      </c>
    </row>
    <row r="17" spans="1:7" x14ac:dyDescent="0.25">
      <c r="A17" s="14" t="s">
        <v>68</v>
      </c>
      <c r="C17" s="15">
        <f>C12+C14-C15-C16</f>
        <v>6.772500000000001</v>
      </c>
      <c r="D17" s="15">
        <f>D12+D14-D15-D16</f>
        <v>-7.241172499999998</v>
      </c>
      <c r="E17" s="15">
        <f>E12+E14-E15-E16</f>
        <v>2.9586455718750058</v>
      </c>
      <c r="F17" s="15">
        <f>F12+F14-F15-F16</f>
        <v>4.071713973292973</v>
      </c>
      <c r="G17" s="15">
        <f>G12+G14-G15-G16</f>
        <v>5.466133605890705</v>
      </c>
    </row>
    <row r="18" spans="1:1" x14ac:dyDescent="0.25">
      <c r="A18" s="12" t="s">
        <v>69</v>
      </c>
    </row>
    <row r="19" spans="1:7" x14ac:dyDescent="0.25">
      <c r="A19" t="s">
        <v>25</v>
      </c>
      <c r="C19" s="13">
        <f>MIN(B24,Inputs!$C$12*Inputs!$C$9)</f>
        <v>1.2</v>
      </c>
      <c r="D19" s="13">
        <f>MIN(C24,Inputs!$C$12*Inputs!$C$9)</f>
        <v>1.2</v>
      </c>
      <c r="E19" s="13">
        <f>MIN(D24,Inputs!$C$12*Inputs!$C$9)</f>
        <v>1.2</v>
      </c>
      <c r="F19" s="13">
        <f>MIN(E24,Inputs!$C$12*Inputs!$C$9)</f>
        <v>1.2</v>
      </c>
      <c r="G19" s="13">
        <f>MIN(F24,Inputs!$C$12*Inputs!$C$9)</f>
        <v>1.2</v>
      </c>
    </row>
    <row r="20" spans="1:7" x14ac:dyDescent="0.25">
      <c r="A20" t="s">
        <v>70</v>
      </c>
      <c r="C20" s="13">
        <f>B26+C17-C19-Inputs!$C$8</f>
        <v>5.572500000000002</v>
      </c>
      <c r="D20" s="13">
        <f>C26+D17-D19-Inputs!$C$8</f>
        <v>-8.441172499999997</v>
      </c>
      <c r="E20" s="13">
        <f>D26+E17-E19-Inputs!$C$8</f>
        <v>1.7586455718750047</v>
      </c>
      <c r="F20" s="13">
        <f>E26+F17-F19-Inputs!$C$8</f>
        <v>2.871713973292972</v>
      </c>
      <c r="G20" s="13">
        <f>F26+G17-G19-Inputs!$C$8</f>
        <v>4.266133605890705</v>
      </c>
    </row>
    <row r="21" spans="1:7" x14ac:dyDescent="0.25">
      <c r="A21" t="s">
        <v>71</v>
      </c>
      <c r="C21" s="13">
        <f>IF(C20&lt;0,MIN(-C20,Inputs!$C$14-B25),-MIN(C20,B25))</f>
        <v>0</v>
      </c>
      <c r="D21" s="13">
        <f>IF(D20&lt;0,MIN(-D20,Inputs!$C$14-C25),-MIN(D20,C25))</f>
        <v>8.441172499999997</v>
      </c>
      <c r="E21" s="13">
        <f>IF(E20&lt;0,MIN(-E20,Inputs!$C$14-D25),-MIN(E20,D25))</f>
        <v>-1.7586455718750047</v>
      </c>
      <c r="F21" s="13">
        <f>IF(F20&lt;0,MIN(-F20,Inputs!$C$14-E25),-MIN(F20,E25))</f>
        <v>-2.871713973292972</v>
      </c>
      <c r="G21" s="13">
        <f>IF(G20&lt;0,MIN(-G20,Inputs!$C$14-F25),-MIN(G20,F25))</f>
        <v>-3.81081295483202</v>
      </c>
    </row>
    <row r="22" spans="1:7" x14ac:dyDescent="0.25">
      <c r="A22" t="s">
        <v>72</v>
      </c>
      <c r="C22" s="13">
        <f>IF(C20&lt;0,0,MIN((C20-MIN(C20,B25))*Inputs!$C$13,B24-C19))</f>
        <v>5.572500000000002</v>
      </c>
      <c r="D22" s="13">
        <f>IF(D20&lt;0,0,MIN((D20-MIN(D20,C25))*Inputs!$C$13,C24-D19))</f>
        <v>0</v>
      </c>
      <c r="E22" s="13">
        <f>IF(E20&lt;0,0,MIN((E20-MIN(E20,D25))*Inputs!$C$13,D24-E19))</f>
        <v>0</v>
      </c>
      <c r="F22" s="13">
        <f>IF(F20&lt;0,0,MIN((F20-MIN(F20,E25))*Inputs!$C$13,E24-F19))</f>
        <v>0</v>
      </c>
      <c r="G22" s="13">
        <f>IF(G20&lt;0,0,MIN((G20-MIN(G20,F25))*Inputs!$C$13,F24-G19))</f>
        <v>0.4553206510586847</v>
      </c>
    </row>
    <row r="23" spans="1:1" x14ac:dyDescent="0.25">
      <c r="A23" s="12" t="s">
        <v>73</v>
      </c>
    </row>
    <row r="24" spans="1:7" x14ac:dyDescent="0.25">
      <c r="A24" s="14" t="s">
        <v>74</v>
      </c>
      <c r="B24" s="13">
        <f>Inputs!$C$9</f>
        <v>120</v>
      </c>
      <c r="C24" s="15">
        <f>B24-C19-C22</f>
        <v>113.22749999999999</v>
      </c>
      <c r="D24" s="15">
        <f>C24-D19-D22</f>
        <v>112.02749999999999</v>
      </c>
      <c r="E24" s="15">
        <f>D24-E19-E22</f>
        <v>110.82749999999999</v>
      </c>
      <c r="F24" s="15">
        <f>E24-F19-F22</f>
        <v>109.62749999999998</v>
      </c>
      <c r="G24" s="15">
        <f>F24-G19-G22</f>
        <v>107.9721793489413</v>
      </c>
    </row>
    <row r="25" spans="1:7" x14ac:dyDescent="0.25">
      <c r="A25" t="s">
        <v>75</v>
      </c>
      <c r="B25" s="13">
        <f>0</f>
        <v>0</v>
      </c>
      <c r="C25" s="13">
        <f>B25+C21</f>
        <v>0</v>
      </c>
      <c r="D25" s="13">
        <f>C25+D21</f>
        <v>8.441172499999997</v>
      </c>
      <c r="E25" s="13">
        <f>D25+E21</f>
        <v>6.682526928124992</v>
      </c>
      <c r="F25" s="13">
        <f>E25+F21</f>
        <v>3.81081295483202</v>
      </c>
      <c r="G25" s="13">
        <f>F25+G21</f>
        <v>0</v>
      </c>
    </row>
    <row r="26" spans="1:7" x14ac:dyDescent="0.25">
      <c r="A26" t="s">
        <v>76</v>
      </c>
      <c r="B26" s="13">
        <f>Inputs!$C$8</f>
        <v>5</v>
      </c>
      <c r="C26" s="13">
        <f>B26+C17-C19+C21-C22</f>
        <v>5</v>
      </c>
      <c r="D26" s="13">
        <f>C26+D17-D19+D21-D22</f>
        <v>4.999999999999999</v>
      </c>
      <c r="E26" s="13">
        <f>D26+E17-E19+E21-E22</f>
        <v>5</v>
      </c>
      <c r="F26" s="13">
        <f>E26+F17-F19+F21-F22</f>
        <v>5</v>
      </c>
      <c r="G26" s="13">
        <f>F26+G17-G19+G21-G22</f>
        <v>5</v>
      </c>
    </row>
    <row r="27" spans="1:7" x14ac:dyDescent="0.25">
      <c r="A27" t="s">
        <v>77</v>
      </c>
      <c r="C27" s="13">
        <f>IF(C20&lt;0,-C20-C21,0)</f>
        <v>0</v>
      </c>
      <c r="D27" s="13">
        <f>IF(D20&lt;0,-D20-D21,0)</f>
        <v>0</v>
      </c>
      <c r="E27" s="13">
        <f>IF(E20&lt;0,-E20-E21,0)</f>
        <v>0</v>
      </c>
      <c r="F27" s="13">
        <f>IF(F20&lt;0,-F20-F21,0)</f>
        <v>0</v>
      </c>
      <c r="G27" s="13">
        <f>IF(G20&lt;0,-G20-G21,0)</f>
        <v>0</v>
      </c>
    </row>
    <row r="29" spans="1:1" x14ac:dyDescent="0.25">
      <c r="A29" s="12" t="s">
        <v>78</v>
      </c>
    </row>
    <row r="30" spans="1:2" x14ac:dyDescent="0.25">
      <c r="A30" t="s">
        <v>79</v>
      </c>
      <c r="B30" s="13">
        <f>Inputs!$C$6*Inputs!$C$5</f>
        <v>200</v>
      </c>
    </row>
    <row r="31" spans="1:2" x14ac:dyDescent="0.25">
      <c r="A31" t="s">
        <v>80</v>
      </c>
      <c r="B31" s="13">
        <f>B30+Inputs!$C$7+Inputs!$C$8</f>
        <v>209</v>
      </c>
    </row>
    <row r="32" spans="1:2" x14ac:dyDescent="0.25">
      <c r="A32" t="s">
        <v>81</v>
      </c>
      <c r="B32" s="13">
        <f>B31-Inputs!$C$9</f>
        <v>89</v>
      </c>
    </row>
    <row r="33" spans="1:2" x14ac:dyDescent="0.25">
      <c r="A33" t="s">
        <v>82</v>
      </c>
      <c r="B33" s="13">
        <f>Inputs!$C$20*G6</f>
        <v>170.81350401024008</v>
      </c>
    </row>
    <row r="34" spans="1:2" x14ac:dyDescent="0.25">
      <c r="A34" t="s">
        <v>83</v>
      </c>
      <c r="B34" s="13">
        <f>G24+G25-G26</f>
        <v>102.9721793489413</v>
      </c>
    </row>
    <row r="35" spans="1:2" x14ac:dyDescent="0.25">
      <c r="A35" t="s">
        <v>84</v>
      </c>
      <c r="B35" s="13">
        <f>MAX(0,B33-B34)</f>
        <v>67.84132466129878</v>
      </c>
    </row>
    <row r="36" spans="1:2" x14ac:dyDescent="0.25">
      <c r="A36" t="s">
        <v>85</v>
      </c>
      <c r="B36" s="16">
        <f>B35/B32</f>
        <v>0.7622620748460538</v>
      </c>
    </row>
    <row r="37" spans="1:2" x14ac:dyDescent="0.25">
      <c r="A37" t="s">
        <v>86</v>
      </c>
      <c r="B37" s="17">
        <f>IF(B36&gt;0,B36^(1/5)-1,-1)</f>
        <v>-0.05284542243998758</v>
      </c>
    </row>
    <row r="38" spans="1:2" x14ac:dyDescent="0.25">
      <c r="A38" t="s">
        <v>87</v>
      </c>
      <c r="B38" s="13">
        <f>MAX(C25:G25)</f>
        <v>8.441172499999997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Brief</vt:lpstr>
      <vt:lpstr>Inputs</vt:lpstr>
      <vt:lpstr>Base</vt:lpstr>
      <vt:lpstr>Downside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AsianMasc · The Finance Desk</dc:creator>
  <dc:title>Harbor Maintenance completed model</dc:title>
  <dc:subject/>
  <dc:description/>
  <cp:keywords/>
  <cp:category/>
  <cp:lastModifiedBy>Unknown</cp:lastModifiedBy>
  <dcterms:created xsi:type="dcterms:W3CDTF">2026-09-29T00:00:00Z</dcterms:created>
  <dcterms:modified xsi:type="dcterms:W3CDTF">2026-09-29T00:00:00Z</dcterms:modified>
</cp:coreProperties>
</file>